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HEDER\Corona-enheden\Coronaordninger\Ordninger og hotline\Ordninger\Midlertidig kunststøtteordning\Kunststøtte 2022\Afrapportering\Regnskabsskema\"/>
    </mc:Choice>
  </mc:AlternateContent>
  <bookViews>
    <workbookView xWindow="0" yWindow="0" windowWidth="14370" windowHeight="6885"/>
  </bookViews>
  <sheets>
    <sheet name="Skema" sheetId="1" r:id="rId1"/>
    <sheet name="Liste" sheetId="2" state="hidden" r:id="rId2"/>
    <sheet name="Matrix" sheetId="3" state="hidden" r:id="rId3"/>
  </sheets>
  <definedNames>
    <definedName name="_xlnm.Print_Area" localSheetId="0">Skema!$A$1:$E$65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2" l="1"/>
  <c r="D53" i="1" l="1"/>
  <c r="D43" i="1" l="1"/>
  <c r="D33" i="1"/>
  <c r="P6" i="2" l="1"/>
  <c r="P5" i="2"/>
  <c r="P4" i="2"/>
  <c r="P7" i="2" l="1"/>
  <c r="P3" i="2"/>
  <c r="O30" i="2" l="1"/>
  <c r="O31" i="2"/>
  <c r="O29" i="2"/>
  <c r="L30" i="2"/>
  <c r="L31" i="2"/>
  <c r="L29" i="2"/>
  <c r="O32" i="2" l="1"/>
  <c r="H29" i="2" s="1"/>
  <c r="L32" i="2"/>
  <c r="H30" i="2" s="1"/>
  <c r="D4" i="3"/>
  <c r="C43" i="1"/>
  <c r="C53" i="1"/>
  <c r="C33" i="1"/>
  <c r="E4" i="3"/>
  <c r="C4" i="3"/>
  <c r="C6" i="3" l="1"/>
  <c r="H21" i="2"/>
  <c r="D31" i="2"/>
  <c r="D21" i="2"/>
  <c r="D22" i="3" l="1"/>
  <c r="D14" i="3"/>
  <c r="D21" i="3"/>
  <c r="D13" i="3"/>
  <c r="D20" i="3"/>
  <c r="D19" i="3"/>
  <c r="D11" i="3"/>
  <c r="D18" i="3"/>
  <c r="C8" i="3"/>
  <c r="D30" i="2" l="1"/>
  <c r="D29" i="2"/>
  <c r="H20" i="2"/>
  <c r="D20" i="2" s="1"/>
  <c r="H19" i="2"/>
  <c r="D19" i="2" s="1"/>
  <c r="D25" i="2" l="1"/>
  <c r="H25" i="2"/>
  <c r="D35" i="2"/>
  <c r="D26" i="2" l="1"/>
  <c r="P8" i="2" s="1"/>
  <c r="D17" i="3" s="1"/>
  <c r="D12" i="3" l="1"/>
  <c r="D16" i="3"/>
  <c r="P19" i="2"/>
  <c r="D15" i="3"/>
  <c r="E8" i="3"/>
  <c r="P9" i="2" l="1"/>
  <c r="D58" i="1" s="1"/>
  <c r="P10" i="2" l="1"/>
  <c r="L19" i="2" l="1"/>
  <c r="L20" i="2"/>
  <c r="L21" i="2"/>
  <c r="P20" i="2" l="1"/>
  <c r="P21" i="2" l="1"/>
  <c r="D63" i="1" s="1"/>
  <c r="D65" i="1" s="1"/>
  <c r="G11" i="2" l="1"/>
</calcChain>
</file>

<file path=xl/comments1.xml><?xml version="1.0" encoding="utf-8"?>
<comments xmlns="http://schemas.openxmlformats.org/spreadsheetml/2006/main">
  <authors>
    <author>Torben Lyngsø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Angiver de mulige år der kan anvendes til referenceperiode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Torben Lyngø:
</t>
        </r>
        <r>
          <rPr>
            <sz val="9"/>
            <color indexed="81"/>
            <rFont val="Tahoma"/>
            <family val="2"/>
          </rPr>
          <t>Liste til at blokere irrelevante dele af skemaet alt efter type af ansøgning.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Torben Lyngsø:</t>
        </r>
        <r>
          <rPr>
            <sz val="9"/>
            <color indexed="81"/>
            <rFont val="Tahoma"/>
            <charset val="1"/>
          </rPr>
          <t xml:space="preserve">
Beregner den endelige kompensation før der er taget højde for ændringer i dagpenge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Referenceår til ansøgninger fra marts og frem.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Kodemodul:
1= referenceperiode
10 = sandsynliggørelse
SUM 1-6 = referenceperiode (HVIS.ELLER1)
SUM 10-60 = sandsynliggørelse (HVIS.ELLER2)
Hvis fejl --&gt; Ikke hel 10'er mellem 10-60
Kombinationaer (6 mdr)
SUM 51 = 5 x sand 1 x ref
SUM 42 = 4 x sand 2 x ref
SUM 33 = 3x sand 3 x ref
SUM 24 = 2 x sand 4 x ref
SUM 15 = 1x sand 5 x ref
Kombinationer (5 mdr)
SUM 41 = 4 x sand 1 x ref 
SUM 32 = 3 x sand 2 x ref
SUM 23= 2 x sand 3 x ref
SUM 14 = 1 x sand 4 x ref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Torben Lyngsø:
SUM = 1 --&gt; 1 måned
SUM = 2 --&gt; 2 måneder
Sum = 3 --&gt; 3 måneder
Sum = 4 --&gt; 4 måneder
Sum = 5 --&gt; 5 måneder
Sum = 6 --&gt; 6 måneder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Beregningsmodul som indstiller maks kompensation alt efter indtastede svar i beregningsmodul-periode.
Maks 23.000 kr. pr måned.</t>
        </r>
      </text>
    </comment>
    <comment ref="N18" authorId="0" shapeId="0">
      <text>
        <r>
          <rPr>
            <b/>
            <sz val="9"/>
            <color indexed="81"/>
            <rFont val="Tahoma"/>
            <charset val="1"/>
          </rPr>
          <t>Torben Lyngsø:</t>
        </r>
        <r>
          <rPr>
            <sz val="9"/>
            <color indexed="81"/>
            <rFont val="Tahoma"/>
            <charset val="1"/>
          </rPr>
          <t xml:space="preserve">
Kopi af beregning af kompensation fra ansøgningen.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 xml:space="preserve">Torben Lyngsø:
</t>
        </r>
        <r>
          <rPr>
            <sz val="9"/>
            <color indexed="81"/>
            <rFont val="Tahoma"/>
            <family val="2"/>
          </rPr>
          <t xml:space="preserve">Modul til at kode ikke udfyldte felter i ansøgningsinformation.
Ja + ikke valgt = 1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Kodemodul til korrekt beregning af procent differencieret for 
Sandsynliggørelse
Reference
Kombination</t>
        </r>
      </text>
    </comment>
  </commentList>
</comments>
</file>

<file path=xl/comments2.xml><?xml version="1.0" encoding="utf-8"?>
<comments xmlns="http://schemas.openxmlformats.org/spreadsheetml/2006/main">
  <authors>
    <author>Torben Lyngsø</author>
  </authors>
  <commentList>
    <comment ref="A6" authorId="0" shapeId="0">
      <text>
        <r>
          <rPr>
            <b/>
            <sz val="9"/>
            <color indexed="81"/>
            <rFont val="Tahoma"/>
            <charset val="1"/>
          </rPr>
          <t>Torben Lyngsø:</t>
        </r>
        <r>
          <rPr>
            <sz val="9"/>
            <color indexed="81"/>
            <rFont val="Tahoma"/>
            <charset val="1"/>
          </rPr>
          <t xml:space="preserve">
Sammenkædning
Første led er baggund for januar
2. led er baggrund for februar
3. led er baggrund for marts
</t>
        </r>
      </text>
    </comment>
  </commentList>
</comments>
</file>

<file path=xl/sharedStrings.xml><?xml version="1.0" encoding="utf-8"?>
<sst xmlns="http://schemas.openxmlformats.org/spreadsheetml/2006/main" count="167" uniqueCount="117">
  <si>
    <t xml:space="preserve">Du er berettiget til at modtage støtte </t>
  </si>
  <si>
    <t>note</t>
  </si>
  <si>
    <t>Referenceår</t>
  </si>
  <si>
    <t>Referenceperiode</t>
  </si>
  <si>
    <t>Sandsynliggørelse af tabt indtægt via kontrakter, aftaler mv.</t>
  </si>
  <si>
    <t>Reference eller Sandsynliggjorte tab</t>
  </si>
  <si>
    <t>Sandsynliggjorte aftaler mv.</t>
  </si>
  <si>
    <t>Oplysninger om ansøgning</t>
  </si>
  <si>
    <t>Tabt indtægt på baggrund af referenceperiode</t>
  </si>
  <si>
    <t>Tabt indtægt for sandsynliggjorte aftaler mv.</t>
  </si>
  <si>
    <t>Ja/Nej</t>
  </si>
  <si>
    <t>Ja</t>
  </si>
  <si>
    <t>Nej</t>
  </si>
  <si>
    <t>Vælg svar fra liste</t>
  </si>
  <si>
    <t>Beregningsmodul-periode</t>
  </si>
  <si>
    <t>Periode i måneder</t>
  </si>
  <si>
    <t>1=ja 0=nej</t>
  </si>
  <si>
    <t xml:space="preserve">note </t>
  </si>
  <si>
    <t>Referenceår (2019)</t>
  </si>
  <si>
    <t>Vælg referenceår</t>
  </si>
  <si>
    <t>Vælg baggrund for ansøgning</t>
  </si>
  <si>
    <t>Beregningsmodul-maks.beløb</t>
  </si>
  <si>
    <t>1 måned</t>
  </si>
  <si>
    <t>Kodemodul</t>
  </si>
  <si>
    <t>1=ref 10= sand</t>
  </si>
  <si>
    <t>Kodesum</t>
  </si>
  <si>
    <t xml:space="preserve">Kodesum </t>
  </si>
  <si>
    <t>Kodemodul.vælg</t>
  </si>
  <si>
    <t/>
  </si>
  <si>
    <t xml:space="preserve">Output </t>
  </si>
  <si>
    <t>December</t>
  </si>
  <si>
    <t>Ir</t>
  </si>
  <si>
    <t>Kompensation for 1. december 2021 til og med 31. december 2021</t>
  </si>
  <si>
    <t xml:space="preserve"> </t>
  </si>
  <si>
    <t>Procentvis tabt indtægt</t>
  </si>
  <si>
    <t>Tabt indtægt på baggrund af referenceperiode i december 2021</t>
  </si>
  <si>
    <t>Tabt indtægt på baggrund af referenceperiode i januar 2022</t>
  </si>
  <si>
    <t>Procentberegner</t>
  </si>
  <si>
    <t>Sandsynliggørelse</t>
  </si>
  <si>
    <t>Reference</t>
  </si>
  <si>
    <t>Samlet af tabt indtægt ved kombination</t>
  </si>
  <si>
    <t>Februar</t>
  </si>
  <si>
    <t>Januar</t>
  </si>
  <si>
    <t>2 måneder</t>
  </si>
  <si>
    <t>3 måneder</t>
  </si>
  <si>
    <t>Overblik</t>
  </si>
  <si>
    <t>Kombination</t>
  </si>
  <si>
    <t>Note</t>
  </si>
  <si>
    <t>Kombinationsnøgle:</t>
  </si>
  <si>
    <t>Procentberegning</t>
  </si>
  <si>
    <t>SA-SA-Ref</t>
  </si>
  <si>
    <t>Ref-SA-SA</t>
  </si>
  <si>
    <t>SA-Ref-SA</t>
  </si>
  <si>
    <t>Ref-Ref-SA</t>
  </si>
  <si>
    <t>SA-Ref-Ref</t>
  </si>
  <si>
    <t>Ref-SA-Ref</t>
  </si>
  <si>
    <t>Test opslag:</t>
  </si>
  <si>
    <t>SA-Ref-0</t>
  </si>
  <si>
    <t>Ref-0-SA</t>
  </si>
  <si>
    <t>Ref-SA-0</t>
  </si>
  <si>
    <t>0-Ref-SA</t>
  </si>
  <si>
    <t>0-SA-Ref</t>
  </si>
  <si>
    <t>SA-0-Ref</t>
  </si>
  <si>
    <t>december</t>
  </si>
  <si>
    <t>januar</t>
  </si>
  <si>
    <t>Kompensation for 1. februar 2022 til og med 28. februar 2022</t>
  </si>
  <si>
    <t>Tabt indtægt på baggrund af referenceperiode i februar 2022</t>
  </si>
  <si>
    <t>Opslag %</t>
  </si>
  <si>
    <t>Referenceindtægt</t>
  </si>
  <si>
    <t>jan</t>
  </si>
  <si>
    <t>dec</t>
  </si>
  <si>
    <t>feb</t>
  </si>
  <si>
    <t>Sandsynliggørelse indtægt</t>
  </si>
  <si>
    <t>SUM</t>
  </si>
  <si>
    <t>Kompensation standard (C66)</t>
  </si>
  <si>
    <t>90% af tab</t>
  </si>
  <si>
    <t>Beregnet komp. med loft</t>
  </si>
  <si>
    <t>Endelig komp. med og dagpenge fratrukket</t>
  </si>
  <si>
    <t>Tab beregnere (fra oprindeligt indtægtsskema</t>
  </si>
  <si>
    <t>C52</t>
  </si>
  <si>
    <t>C53</t>
  </si>
  <si>
    <t>C54</t>
  </si>
  <si>
    <t>C55</t>
  </si>
  <si>
    <t>C56</t>
  </si>
  <si>
    <t>C57</t>
  </si>
  <si>
    <t>C58</t>
  </si>
  <si>
    <t>C59</t>
  </si>
  <si>
    <t>Difference i dagpenge</t>
  </si>
  <si>
    <t>(output) Beregning før regulering af dagpenge</t>
  </si>
  <si>
    <r>
      <t xml:space="preserve">Angiv indtægt fra kunstnerisk virke i perioden </t>
    </r>
    <r>
      <rPr>
        <u/>
        <sz val="11"/>
        <color theme="1"/>
        <rFont val="Calibri"/>
        <family val="2"/>
        <scheme val="minor"/>
      </rPr>
      <t xml:space="preserve">1. december - 31. december </t>
    </r>
    <r>
      <rPr>
        <sz val="11"/>
        <color theme="1"/>
        <rFont val="Calibri"/>
        <family val="2"/>
        <scheme val="minor"/>
      </rPr>
      <t>i det valgte referenceår.</t>
    </r>
  </si>
  <si>
    <r>
      <t xml:space="preserve">Angiv indtægt fra kunstnerisk virke i perioden </t>
    </r>
    <r>
      <rPr>
        <u/>
        <sz val="11"/>
        <color theme="1"/>
        <rFont val="Calibri"/>
        <family val="2"/>
        <scheme val="minor"/>
      </rPr>
      <t>1. januar - 31. januar</t>
    </r>
    <r>
      <rPr>
        <sz val="11"/>
        <color theme="1"/>
        <rFont val="Calibri"/>
        <family val="2"/>
        <scheme val="minor"/>
      </rPr>
      <t xml:space="preserve"> i det valgte referenceår.</t>
    </r>
  </si>
  <si>
    <r>
      <t>Angiv indtægt fra kunstnerisk virke i perioden 1</t>
    </r>
    <r>
      <rPr>
        <u/>
        <sz val="11"/>
        <color theme="1"/>
        <rFont val="Calibri"/>
        <family val="2"/>
        <scheme val="minor"/>
      </rPr>
      <t>. februar - 28. februar</t>
    </r>
    <r>
      <rPr>
        <sz val="11"/>
        <color theme="1"/>
        <rFont val="Calibri"/>
        <family val="2"/>
        <scheme val="minor"/>
      </rPr>
      <t xml:space="preserve"> i det valgte referenceår.</t>
    </r>
  </si>
  <si>
    <t xml:space="preserve">Samlet tabt indtægt i perioden 1. februar-28. februar 2022 </t>
  </si>
  <si>
    <t>Samlet tabt indtægt i perioden 1. januar-31. januar 2022</t>
  </si>
  <si>
    <t>Samlet tabt indtægt i perioden 1. december-31. december 2021</t>
  </si>
  <si>
    <t>Aflyste kontrakter, aftaler mv. fra 1. december-31. december 2021</t>
  </si>
  <si>
    <t xml:space="preserve">Aflyste kontrakter, aftaler mv. fra 1. januar-31. januar 2022 </t>
  </si>
  <si>
    <t xml:space="preserve">Aflyste kontrakter, aftaler mv. i 1. februar-28. februar 2022 </t>
  </si>
  <si>
    <t>Indtast hvad du har modtaget i kompensation fra Kunststøtteordningen i den valgte periode</t>
  </si>
  <si>
    <t xml:space="preserve">Beregnet beløb til efterregulering. Et negativt beløb betyder, at du har fået udbetalt for meget i kompensation for perioden og skal tilbagebetale. </t>
  </si>
  <si>
    <t>Supplerende dagpenge før skat i den valgte periode, som du faktisk har modtaget</t>
  </si>
  <si>
    <r>
      <t xml:space="preserve">Indtast eventuelle supplerende dagpenge modtaget i den valgte periode. Supplerende dagpenge skal angives </t>
    </r>
    <r>
      <rPr>
        <i/>
        <sz val="11"/>
        <color theme="1"/>
        <rFont val="Calibri"/>
        <family val="2"/>
        <scheme val="minor"/>
      </rPr>
      <t xml:space="preserve">før </t>
    </r>
    <r>
      <rPr>
        <sz val="11"/>
        <color theme="1"/>
        <rFont val="Calibri"/>
        <family val="2"/>
        <scheme val="minor"/>
      </rPr>
      <t>skat.</t>
    </r>
  </si>
  <si>
    <t>Har du modtaget kompensation for perioden?</t>
  </si>
  <si>
    <t>Beregningsmodel benyttet i ansøgningen</t>
  </si>
  <si>
    <t>Referenceår (angives kun, hvis referenceår er benyttet)</t>
  </si>
  <si>
    <r>
      <t xml:space="preserve">Angiv indtægt fra kunstnerisk virke i perioden 1.-31. </t>
    </r>
    <r>
      <rPr>
        <u/>
        <sz val="11"/>
        <color theme="1"/>
        <rFont val="Calibri"/>
        <family val="2"/>
        <scheme val="minor"/>
      </rPr>
      <t>december 2021.</t>
    </r>
    <r>
      <rPr>
        <sz val="11"/>
        <color theme="1"/>
        <rFont val="Calibri"/>
        <family val="2"/>
        <scheme val="minor"/>
      </rPr>
      <t xml:space="preserve"> Feltet udfyldes kun, hvis du har modtaget kompensation for perioden.</t>
    </r>
  </si>
  <si>
    <r>
      <t xml:space="preserve">Angiv indtægt fra kunstnerisk virke i perioden </t>
    </r>
    <r>
      <rPr>
        <u/>
        <sz val="11"/>
        <color theme="1"/>
        <rFont val="Calibri"/>
        <family val="2"/>
        <scheme val="minor"/>
      </rPr>
      <t>1.-31. januar 2022.</t>
    </r>
    <r>
      <rPr>
        <sz val="11"/>
        <color theme="1"/>
        <rFont val="Calibri"/>
        <family val="2"/>
        <scheme val="minor"/>
      </rPr>
      <t xml:space="preserve"> Feltet udfyldes kun, hvis du har modtaget kompensation for perioden.</t>
    </r>
  </si>
  <si>
    <r>
      <t xml:space="preserve">Angiv indtægt fra kunstnerisk virke i perioden </t>
    </r>
    <r>
      <rPr>
        <u/>
        <sz val="11"/>
        <color theme="1"/>
        <rFont val="Calibri"/>
        <family val="2"/>
        <scheme val="minor"/>
      </rPr>
      <t>1.-28. februar 2022.</t>
    </r>
    <r>
      <rPr>
        <sz val="11"/>
        <color theme="1"/>
        <rFont val="Calibri"/>
        <family val="2"/>
        <scheme val="minor"/>
      </rPr>
      <t xml:space="preserve"> Feltet udfyldes kun, hvis du har modtaget kompensation for perioden.</t>
    </r>
  </si>
  <si>
    <t>Kompensation for 1. januar 2022 til og med 31. januar 2022</t>
  </si>
  <si>
    <t>Kunstneriske indtægter i de valgte kompensationsperioder</t>
  </si>
  <si>
    <t>Supplerende dagpenge før skat i den valgte periode, som du oplyste i ansøgningen</t>
  </si>
  <si>
    <t>Angiv beløbet for din faktiske tabte indtægt</t>
  </si>
  <si>
    <t>Angiv det tabte beløb oplyst i ansøgningen</t>
  </si>
  <si>
    <t>Regnskabsskema: Afrapportering på Kunststøtteordningen - vinter 2021-2022</t>
  </si>
  <si>
    <t>Endelig kompensationsberegning for den valgte periode i vinteren 2021-2022</t>
  </si>
  <si>
    <t>Beregnet kompensationsbeløb i den valgte kompensationsperiode i vinteren 2021-2022 ved afrapportering</t>
  </si>
  <si>
    <t>Procentvist tab ved afrapportering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</si>
</sst>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_-* #,##0\ &quot;kr.&quot;_-;\-* #,##0\ &quot;kr.&quot;_-;_-* &quot;-&quot;??\ &quot;kr.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6" borderId="1" xfId="0" applyFill="1" applyBorder="1"/>
    <xf numFmtId="44" fontId="0" fillId="6" borderId="1" xfId="0" applyNumberFormat="1" applyFill="1" applyBorder="1"/>
    <xf numFmtId="10" fontId="0" fillId="6" borderId="1" xfId="2" applyNumberFormat="1" applyFont="1" applyFill="1" applyBorder="1"/>
    <xf numFmtId="0" fontId="2" fillId="6" borderId="1" xfId="0" applyFont="1" applyFill="1" applyBorder="1" applyAlignment="1">
      <alignment horizontal="right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10" fontId="0" fillId="0" borderId="0" xfId="2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2" borderId="1" xfId="0" applyFill="1" applyBorder="1"/>
    <xf numFmtId="0" fontId="0" fillId="0" borderId="0" xfId="0" applyBorder="1"/>
    <xf numFmtId="0" fontId="2" fillId="0" borderId="1" xfId="0" applyFont="1" applyBorder="1" applyAlignment="1">
      <alignment horizontal="right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44" fontId="0" fillId="2" borderId="1" xfId="1" applyFont="1" applyFill="1" applyBorder="1" applyProtection="1">
      <protection hidden="1"/>
    </xf>
    <xf numFmtId="16" fontId="0" fillId="0" borderId="0" xfId="0" applyNumberFormat="1" applyProtection="1">
      <protection hidden="1"/>
    </xf>
    <xf numFmtId="0" fontId="0" fillId="2" borderId="7" xfId="0" applyFill="1" applyBorder="1" applyProtection="1">
      <protection hidden="1"/>
    </xf>
    <xf numFmtId="0" fontId="0" fillId="0" borderId="0" xfId="0" quotePrefix="1" applyProtection="1">
      <protection hidden="1"/>
    </xf>
    <xf numFmtId="1" fontId="0" fillId="0" borderId="0" xfId="0" applyNumberFormat="1" applyProtection="1">
      <protection hidden="1"/>
    </xf>
    <xf numFmtId="2" fontId="0" fillId="0" borderId="0" xfId="0" applyNumberFormat="1"/>
    <xf numFmtId="44" fontId="0" fillId="0" borderId="1" xfId="1" applyFont="1" applyBorder="1" applyProtection="1"/>
    <xf numFmtId="44" fontId="0" fillId="6" borderId="1" xfId="1" applyFont="1" applyFill="1" applyBorder="1"/>
    <xf numFmtId="44" fontId="0" fillId="4" borderId="1" xfId="0" applyNumberFormat="1" applyFill="1" applyBorder="1" applyAlignment="1">
      <alignment horizontal="right"/>
    </xf>
    <xf numFmtId="0" fontId="0" fillId="0" borderId="1" xfId="0" applyBorder="1" applyProtection="1"/>
    <xf numFmtId="0" fontId="0" fillId="6" borderId="1" xfId="0" applyFill="1" applyBorder="1" applyProtection="1">
      <protection hidden="1"/>
    </xf>
    <xf numFmtId="0" fontId="0" fillId="6" borderId="1" xfId="0" applyFill="1" applyBorder="1" applyAlignment="1">
      <alignment horizontal="left"/>
    </xf>
    <xf numFmtId="10" fontId="0" fillId="6" borderId="1" xfId="2" applyNumberFormat="1" applyFont="1" applyFill="1" applyBorder="1" applyProtection="1">
      <protection hidden="1"/>
    </xf>
    <xf numFmtId="0" fontId="0" fillId="7" borderId="0" xfId="0" applyFill="1"/>
    <xf numFmtId="0" fontId="0" fillId="3" borderId="0" xfId="0" applyFill="1"/>
    <xf numFmtId="0" fontId="0" fillId="8" borderId="0" xfId="0" applyFill="1"/>
    <xf numFmtId="9" fontId="0" fillId="0" borderId="0" xfId="2" applyFont="1"/>
    <xf numFmtId="0" fontId="0" fillId="0" borderId="0" xfId="0" applyFill="1"/>
    <xf numFmtId="44" fontId="0" fillId="2" borderId="1" xfId="1" applyFont="1" applyFill="1" applyBorder="1"/>
    <xf numFmtId="0" fontId="0" fillId="2" borderId="5" xfId="0" applyFill="1" applyBorder="1" applyProtection="1">
      <protection hidden="1"/>
    </xf>
    <xf numFmtId="44" fontId="0" fillId="2" borderId="5" xfId="0" applyNumberFormat="1" applyFill="1" applyBorder="1"/>
    <xf numFmtId="0" fontId="0" fillId="2" borderId="4" xfId="0" applyFill="1" applyBorder="1" applyProtection="1">
      <protection hidden="1"/>
    </xf>
    <xf numFmtId="44" fontId="0" fillId="2" borderId="4" xfId="1" applyFont="1" applyFill="1" applyBorder="1" applyProtection="1">
      <protection hidden="1"/>
    </xf>
    <xf numFmtId="0" fontId="0" fillId="2" borderId="5" xfId="0" applyFill="1" applyBorder="1"/>
    <xf numFmtId="0" fontId="0" fillId="2" borderId="4" xfId="0" applyFill="1" applyBorder="1"/>
    <xf numFmtId="44" fontId="0" fillId="2" borderId="4" xfId="1" applyFont="1" applyFill="1" applyBorder="1"/>
    <xf numFmtId="0" fontId="0" fillId="2" borderId="1" xfId="0" applyFill="1" applyBorder="1" applyProtection="1"/>
    <xf numFmtId="44" fontId="0" fillId="2" borderId="1" xfId="1" applyFont="1" applyFill="1" applyBorder="1" applyProtection="1"/>
    <xf numFmtId="0" fontId="5" fillId="0" borderId="1" xfId="0" applyFont="1" applyBorder="1" applyProtection="1"/>
    <xf numFmtId="0" fontId="0" fillId="0" borderId="0" xfId="0" applyFill="1" applyProtection="1">
      <protection hidden="1"/>
    </xf>
    <xf numFmtId="0" fontId="0" fillId="0" borderId="8" xfId="0" applyFill="1" applyBorder="1"/>
    <xf numFmtId="10" fontId="0" fillId="0" borderId="8" xfId="2" applyNumberFormat="1" applyFont="1" applyFill="1" applyBorder="1"/>
    <xf numFmtId="0" fontId="0" fillId="0" borderId="12" xfId="0" applyBorder="1"/>
    <xf numFmtId="0" fontId="2" fillId="5" borderId="10" xfId="0" applyFont="1" applyFill="1" applyBorder="1" applyProtection="1"/>
    <xf numFmtId="0" fontId="0" fillId="5" borderId="12" xfId="0" applyFill="1" applyBorder="1" applyAlignment="1" applyProtection="1">
      <alignment horizontal="right"/>
      <protection locked="0"/>
    </xf>
    <xf numFmtId="0" fontId="0" fillId="0" borderId="0" xfId="0" applyAlignment="1">
      <alignment wrapText="1"/>
    </xf>
    <xf numFmtId="164" fontId="0" fillId="0" borderId="0" xfId="1" applyNumberFormat="1" applyFont="1"/>
    <xf numFmtId="0" fontId="0" fillId="6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44" fontId="0" fillId="0" borderId="0" xfId="1" applyFont="1" applyBorder="1" applyProtection="1"/>
    <xf numFmtId="0" fontId="0" fillId="3" borderId="9" xfId="0" applyFill="1" applyBorder="1" applyAlignment="1">
      <alignment wrapText="1"/>
    </xf>
    <xf numFmtId="0" fontId="0" fillId="3" borderId="14" xfId="0" applyFill="1" applyBorder="1" applyAlignment="1" applyProtection="1">
      <alignment wrapText="1"/>
    </xf>
    <xf numFmtId="164" fontId="0" fillId="4" borderId="15" xfId="1" applyNumberFormat="1" applyFont="1" applyFill="1" applyBorder="1" applyProtection="1">
      <protection locked="0"/>
    </xf>
    <xf numFmtId="9" fontId="0" fillId="3" borderId="16" xfId="0" applyNumberFormat="1" applyFill="1" applyBorder="1" applyProtection="1"/>
    <xf numFmtId="0" fontId="0" fillId="2" borderId="8" xfId="0" applyFill="1" applyBorder="1" applyAlignment="1" applyProtection="1">
      <alignment wrapText="1"/>
    </xf>
    <xf numFmtId="0" fontId="2" fillId="5" borderId="0" xfId="0" applyFont="1" applyFill="1" applyBorder="1"/>
    <xf numFmtId="0" fontId="0" fillId="2" borderId="13" xfId="0" applyFill="1" applyBorder="1" applyAlignment="1" applyProtection="1">
      <alignment wrapText="1"/>
    </xf>
    <xf numFmtId="0" fontId="0" fillId="3" borderId="3" xfId="0" applyFill="1" applyBorder="1" applyAlignment="1" applyProtection="1">
      <alignment wrapText="1"/>
    </xf>
    <xf numFmtId="0" fontId="0" fillId="2" borderId="16" xfId="0" applyFill="1" applyBorder="1" applyAlignment="1">
      <alignment wrapText="1"/>
    </xf>
    <xf numFmtId="164" fontId="0" fillId="4" borderId="21" xfId="1" applyNumberFormat="1" applyFont="1" applyFill="1" applyBorder="1" applyProtection="1">
      <protection locked="0"/>
    </xf>
    <xf numFmtId="9" fontId="0" fillId="2" borderId="22" xfId="0" applyNumberFormat="1" applyFill="1" applyBorder="1" applyProtection="1"/>
    <xf numFmtId="0" fontId="0" fillId="2" borderId="22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44" fontId="0" fillId="0" borderId="8" xfId="1" applyFont="1" applyBorder="1" applyProtection="1"/>
    <xf numFmtId="164" fontId="0" fillId="3" borderId="23" xfId="1" applyNumberFormat="1" applyFont="1" applyFill="1" applyBorder="1" applyProtection="1"/>
    <xf numFmtId="9" fontId="0" fillId="3" borderId="21" xfId="2" applyFont="1" applyFill="1" applyBorder="1" applyProtection="1"/>
    <xf numFmtId="0" fontId="0" fillId="0" borderId="8" xfId="0" applyBorder="1" applyProtection="1"/>
    <xf numFmtId="0" fontId="0" fillId="9" borderId="1" xfId="0" applyFill="1" applyBorder="1"/>
    <xf numFmtId="0" fontId="0" fillId="5" borderId="10" xfId="0" applyFill="1" applyBorder="1" applyAlignment="1" applyProtection="1">
      <alignment horizontal="right"/>
      <protection locked="0"/>
    </xf>
    <xf numFmtId="164" fontId="1" fillId="0" borderId="5" xfId="1" applyNumberFormat="1" applyFont="1" applyBorder="1" applyProtection="1">
      <protection locked="0"/>
    </xf>
    <xf numFmtId="164" fontId="1" fillId="0" borderId="1" xfId="1" applyNumberFormat="1" applyFont="1" applyFill="1" applyBorder="1" applyProtection="1">
      <protection locked="0"/>
    </xf>
    <xf numFmtId="164" fontId="1" fillId="0" borderId="6" xfId="1" applyNumberFormat="1" applyFont="1" applyFill="1" applyBorder="1" applyProtection="1">
      <protection locked="0"/>
    </xf>
    <xf numFmtId="164" fontId="1" fillId="0" borderId="1" xfId="1" applyNumberFormat="1" applyFont="1" applyBorder="1" applyProtection="1">
      <protection locked="0"/>
    </xf>
    <xf numFmtId="0" fontId="0" fillId="5" borderId="13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164" fontId="0" fillId="4" borderId="1" xfId="1" applyNumberFormat="1" applyFont="1" applyFill="1" applyBorder="1" applyAlignment="1" applyProtection="1">
      <alignment wrapText="1"/>
      <protection locked="0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1" xfId="0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0" fillId="2" borderId="19" xfId="0" applyFill="1" applyBorder="1" applyAlignment="1" applyProtection="1">
      <alignment vertical="center" wrapText="1"/>
    </xf>
    <xf numFmtId="0" fontId="0" fillId="3" borderId="17" xfId="0" applyFill="1" applyBorder="1" applyAlignment="1" applyProtection="1">
      <alignment vertical="center" wrapText="1"/>
    </xf>
    <xf numFmtId="0" fontId="0" fillId="3" borderId="16" xfId="0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164" fontId="0" fillId="2" borderId="20" xfId="1" applyNumberFormat="1" applyFont="1" applyFill="1" applyBorder="1" applyProtection="1"/>
    <xf numFmtId="164" fontId="0" fillId="2" borderId="21" xfId="1" applyNumberFormat="1" applyFont="1" applyFill="1" applyBorder="1" applyProtection="1"/>
    <xf numFmtId="44" fontId="0" fillId="3" borderId="25" xfId="1" applyFont="1" applyFill="1" applyBorder="1" applyProtection="1"/>
    <xf numFmtId="0" fontId="0" fillId="0" borderId="12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44" fontId="0" fillId="0" borderId="0" xfId="0" applyNumberFormat="1" applyProtection="1"/>
    <xf numFmtId="164" fontId="0" fillId="0" borderId="0" xfId="0" applyNumberFormat="1" applyProtection="1"/>
    <xf numFmtId="10" fontId="0" fillId="0" borderId="0" xfId="0" applyNumberFormat="1" applyProtection="1"/>
    <xf numFmtId="10" fontId="0" fillId="0" borderId="0" xfId="0" applyNumberFormat="1" applyBorder="1" applyProtection="1"/>
    <xf numFmtId="164" fontId="2" fillId="3" borderId="24" xfId="0" applyNumberFormat="1" applyFont="1" applyFill="1" applyBorder="1"/>
    <xf numFmtId="0" fontId="2" fillId="3" borderId="18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2" borderId="13" xfId="0" applyFill="1" applyBorder="1" applyAlignment="1" applyProtection="1">
      <alignment horizontal="center" wrapText="1"/>
    </xf>
    <xf numFmtId="0" fontId="0" fillId="2" borderId="20" xfId="0" applyFill="1" applyBorder="1" applyAlignment="1" applyProtection="1">
      <alignment horizontal="center" wrapText="1"/>
    </xf>
    <xf numFmtId="0" fontId="2" fillId="5" borderId="8" xfId="0" applyFont="1" applyFill="1" applyBorder="1" applyAlignment="1">
      <alignment horizontal="righ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/>
  </cellXfs>
  <cellStyles count="3">
    <cellStyle name="Normal" xfId="0" builtinId="0"/>
    <cellStyle name="Procent" xfId="2" builtinId="5"/>
    <cellStyle name="Valuta" xfId="1" builtinId="4"/>
  </cellStyles>
  <dxfs count="26"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C2:C7" totalsRowShown="0" headerRowDxfId="11" dataDxfId="10">
  <autoFilter ref="C2:C7"/>
  <tableColumns count="1">
    <tableColumn id="1" name="Referenceår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G2:G5" totalsRowShown="0" headerRowDxfId="8" dataDxfId="7">
  <autoFilter ref="G2:G5"/>
  <tableColumns count="1">
    <tableColumn id="1" name="Reference eller Sandsynliggjorte tab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K2:K13" totalsRowShown="0" headerRowDxfId="5" dataDxfId="4">
  <autoFilter ref="K2:K13"/>
  <tableColumns count="1">
    <tableColumn id="1" name="Ja/Nej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4" displayName="Tabel4" ref="C11:C15" totalsRowShown="0" headerRowDxfId="2" dataDxfId="1">
  <autoFilter ref="C11:C15"/>
  <tableColumns count="1">
    <tableColumn id="1" name="Referenceår (2019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"/>
  <sheetViews>
    <sheetView showGridLines="0" tabSelected="1" zoomScaleNormal="100" workbookViewId="0">
      <selection activeCell="C5" sqref="C5"/>
    </sheetView>
  </sheetViews>
  <sheetFormatPr defaultRowHeight="15" x14ac:dyDescent="0.25"/>
  <cols>
    <col min="1" max="1" width="9.140625" style="100"/>
    <col min="2" max="2" width="69.140625" customWidth="1"/>
    <col min="3" max="3" width="42.140625" customWidth="1"/>
    <col min="4" max="4" width="42" customWidth="1"/>
    <col min="5" max="5" width="29.5703125" customWidth="1"/>
    <col min="6" max="6" width="19" style="100" customWidth="1"/>
    <col min="7" max="7" width="12.7109375" style="100" customWidth="1"/>
    <col min="8" max="8" width="17.85546875" style="100" customWidth="1"/>
    <col min="9" max="9" width="11.85546875" style="100" customWidth="1"/>
    <col min="10" max="16384" width="9.140625" style="100"/>
  </cols>
  <sheetData>
    <row r="2" spans="1:6" ht="34.15" customHeight="1" x14ac:dyDescent="0.25">
      <c r="B2" s="109" t="s">
        <v>113</v>
      </c>
      <c r="C2" s="109"/>
      <c r="D2" s="109"/>
      <c r="E2" s="109"/>
    </row>
    <row r="3" spans="1:6" x14ac:dyDescent="0.25">
      <c r="B3" s="110" t="s">
        <v>7</v>
      </c>
      <c r="C3" s="110"/>
      <c r="D3" s="110"/>
      <c r="E3" s="110"/>
    </row>
    <row r="4" spans="1:6" ht="30" x14ac:dyDescent="0.25">
      <c r="B4" s="10"/>
      <c r="C4" s="93" t="s">
        <v>102</v>
      </c>
      <c r="D4" s="12" t="s">
        <v>103</v>
      </c>
      <c r="E4" s="94" t="s">
        <v>104</v>
      </c>
      <c r="F4" s="102"/>
    </row>
    <row r="5" spans="1:6" ht="25.9" customHeight="1" x14ac:dyDescent="0.25">
      <c r="B5" s="82" t="s">
        <v>32</v>
      </c>
      <c r="C5" s="85" t="s">
        <v>13</v>
      </c>
      <c r="D5" s="86" t="s">
        <v>20</v>
      </c>
      <c r="E5" s="86" t="s">
        <v>19</v>
      </c>
    </row>
    <row r="6" spans="1:6" ht="25.9" customHeight="1" x14ac:dyDescent="0.25">
      <c r="B6" s="83" t="s">
        <v>108</v>
      </c>
      <c r="C6" s="85" t="s">
        <v>13</v>
      </c>
      <c r="D6" s="86" t="s">
        <v>20</v>
      </c>
      <c r="E6" s="86" t="s">
        <v>19</v>
      </c>
    </row>
    <row r="7" spans="1:6" ht="29.25" customHeight="1" thickBot="1" x14ac:dyDescent="0.3">
      <c r="B7" s="84" t="s">
        <v>65</v>
      </c>
      <c r="C7" s="85" t="s">
        <v>13</v>
      </c>
      <c r="D7" s="86" t="s">
        <v>20</v>
      </c>
      <c r="E7" s="86" t="s">
        <v>19</v>
      </c>
    </row>
    <row r="8" spans="1:6" ht="19.5" customHeight="1" x14ac:dyDescent="0.25">
      <c r="B8" s="47"/>
      <c r="C8" s="49"/>
      <c r="D8" s="98"/>
      <c r="E8" s="99"/>
    </row>
    <row r="9" spans="1:6" ht="19.5" customHeight="1" x14ac:dyDescent="0.25">
      <c r="A9" s="101"/>
      <c r="B9" s="48" t="s">
        <v>109</v>
      </c>
      <c r="C9" s="73"/>
      <c r="D9" s="99"/>
      <c r="E9" s="99"/>
    </row>
    <row r="10" spans="1:6" ht="53.45" customHeight="1" x14ac:dyDescent="0.25">
      <c r="A10" s="100" t="s">
        <v>33</v>
      </c>
      <c r="B10" s="81" t="s">
        <v>105</v>
      </c>
      <c r="C10" s="74"/>
      <c r="D10" s="101"/>
      <c r="E10" s="101"/>
    </row>
    <row r="11" spans="1:6" ht="48.75" customHeight="1" x14ac:dyDescent="0.25">
      <c r="B11" s="81" t="s">
        <v>106</v>
      </c>
      <c r="C11" s="75"/>
      <c r="D11" s="101"/>
      <c r="E11" s="101"/>
    </row>
    <row r="12" spans="1:6" ht="48" customHeight="1" x14ac:dyDescent="0.25">
      <c r="B12" s="81" t="s">
        <v>107</v>
      </c>
      <c r="C12" s="76"/>
      <c r="D12" s="101"/>
      <c r="E12" s="101"/>
    </row>
    <row r="13" spans="1:6" ht="15" customHeight="1" x14ac:dyDescent="0.25">
      <c r="B13" s="78"/>
      <c r="C13" s="79"/>
      <c r="D13" s="101"/>
      <c r="E13" s="100"/>
    </row>
    <row r="14" spans="1:6" ht="19.149999999999999" customHeight="1" x14ac:dyDescent="0.25">
      <c r="B14" s="117" t="s">
        <v>3</v>
      </c>
      <c r="C14" s="118"/>
      <c r="D14" s="100"/>
      <c r="E14" s="100"/>
    </row>
    <row r="15" spans="1:6" ht="36.75" customHeight="1" x14ac:dyDescent="0.25">
      <c r="B15" s="87" t="s">
        <v>89</v>
      </c>
      <c r="C15" s="77"/>
      <c r="D15" s="100"/>
      <c r="E15" s="100"/>
    </row>
    <row r="16" spans="1:6" ht="33.6" customHeight="1" x14ac:dyDescent="0.25">
      <c r="B16" s="87" t="s">
        <v>90</v>
      </c>
      <c r="C16" s="77"/>
      <c r="D16" s="100"/>
      <c r="E16" s="100"/>
    </row>
    <row r="17" spans="1:10" ht="36.75" customHeight="1" x14ac:dyDescent="0.25">
      <c r="B17" s="88" t="s">
        <v>91</v>
      </c>
      <c r="C17" s="77"/>
      <c r="D17" s="100"/>
      <c r="E17" s="100"/>
    </row>
    <row r="18" spans="1:10" x14ac:dyDescent="0.25">
      <c r="A18" s="100" t="s">
        <v>33</v>
      </c>
      <c r="B18" s="114"/>
      <c r="C18" s="114"/>
      <c r="D18" s="101"/>
      <c r="E18" s="100"/>
    </row>
    <row r="19" spans="1:10" ht="9" customHeight="1" x14ac:dyDescent="0.25">
      <c r="B19" s="111"/>
      <c r="C19" s="111"/>
      <c r="D19" s="100"/>
      <c r="E19" s="100"/>
    </row>
    <row r="20" spans="1:10" x14ac:dyDescent="0.25">
      <c r="B20" s="117" t="s">
        <v>4</v>
      </c>
      <c r="C20" s="118"/>
      <c r="D20" s="100"/>
      <c r="E20" s="100"/>
    </row>
    <row r="21" spans="1:10" x14ac:dyDescent="0.25">
      <c r="B21" s="115"/>
      <c r="C21" s="116"/>
      <c r="D21" s="100"/>
      <c r="E21" s="100"/>
    </row>
    <row r="22" spans="1:10" x14ac:dyDescent="0.25">
      <c r="B22" s="8" t="s">
        <v>95</v>
      </c>
      <c r="C22" s="9" t="s">
        <v>112</v>
      </c>
      <c r="D22" s="9" t="s">
        <v>111</v>
      </c>
      <c r="E22" s="100"/>
      <c r="J22" s="103"/>
    </row>
    <row r="23" spans="1:10" x14ac:dyDescent="0.25">
      <c r="B23" s="5"/>
      <c r="C23" s="6"/>
      <c r="D23" s="6"/>
      <c r="E23" s="100"/>
    </row>
    <row r="24" spans="1:10" x14ac:dyDescent="0.25">
      <c r="B24" s="5"/>
      <c r="C24" s="6"/>
      <c r="D24" s="6"/>
      <c r="E24" s="100"/>
    </row>
    <row r="25" spans="1:10" x14ac:dyDescent="0.25">
      <c r="B25" s="5"/>
      <c r="C25" s="6"/>
      <c r="D25" s="6"/>
      <c r="E25" s="100"/>
    </row>
    <row r="26" spans="1:10" x14ac:dyDescent="0.25">
      <c r="B26" s="5"/>
      <c r="C26" s="6"/>
      <c r="D26" s="6"/>
      <c r="E26" s="100"/>
    </row>
    <row r="27" spans="1:10" x14ac:dyDescent="0.25">
      <c r="B27" s="5"/>
      <c r="C27" s="6"/>
      <c r="D27" s="6"/>
      <c r="E27" s="100"/>
    </row>
    <row r="28" spans="1:10" x14ac:dyDescent="0.25">
      <c r="B28" s="5"/>
      <c r="C28" s="6"/>
      <c r="D28" s="6"/>
      <c r="E28" s="100"/>
    </row>
    <row r="29" spans="1:10" x14ac:dyDescent="0.25">
      <c r="B29" s="5"/>
      <c r="C29" s="6"/>
      <c r="D29" s="6"/>
      <c r="E29" s="100"/>
    </row>
    <row r="30" spans="1:10" x14ac:dyDescent="0.25">
      <c r="B30" s="5"/>
      <c r="C30" s="6"/>
      <c r="D30" s="6"/>
      <c r="E30" s="100"/>
    </row>
    <row r="31" spans="1:10" x14ac:dyDescent="0.25">
      <c r="B31" s="5"/>
      <c r="C31" s="6"/>
      <c r="D31" s="6"/>
      <c r="E31" s="100"/>
    </row>
    <row r="32" spans="1:10" x14ac:dyDescent="0.25">
      <c r="B32" s="5"/>
      <c r="C32" s="6"/>
      <c r="D32" s="6"/>
      <c r="E32" s="100"/>
    </row>
    <row r="33" spans="2:5" x14ac:dyDescent="0.25">
      <c r="B33" s="24" t="s">
        <v>94</v>
      </c>
      <c r="C33" s="21">
        <f>IF(AND(C5="Ja",D5="Sandsynliggjorte aftaler mv."),SUM(C23:C32),0)</f>
        <v>0</v>
      </c>
      <c r="D33" s="21">
        <f>IF(AND(C5="Ja",D5="Sandsynliggjorte aftaler mv."),SUM(D23:D32),0)</f>
        <v>0</v>
      </c>
      <c r="E33" s="100"/>
    </row>
    <row r="34" spans="2:5" x14ac:dyDescent="0.25">
      <c r="B34" s="41"/>
      <c r="C34" s="42"/>
      <c r="D34" s="42"/>
      <c r="E34" s="100"/>
    </row>
    <row r="35" spans="2:5" x14ac:dyDescent="0.25">
      <c r="B35" s="8" t="s">
        <v>96</v>
      </c>
      <c r="C35" s="9" t="s">
        <v>112</v>
      </c>
      <c r="D35" s="9" t="s">
        <v>111</v>
      </c>
      <c r="E35" s="100"/>
    </row>
    <row r="36" spans="2:5" x14ac:dyDescent="0.25">
      <c r="B36" s="5"/>
      <c r="C36" s="6"/>
      <c r="D36" s="6"/>
      <c r="E36" s="100"/>
    </row>
    <row r="37" spans="2:5" x14ac:dyDescent="0.25">
      <c r="B37" s="5"/>
      <c r="C37" s="6"/>
      <c r="D37" s="6"/>
      <c r="E37" s="100"/>
    </row>
    <row r="38" spans="2:5" x14ac:dyDescent="0.25">
      <c r="B38" s="5"/>
      <c r="C38" s="6"/>
      <c r="D38" s="6"/>
      <c r="E38" s="100"/>
    </row>
    <row r="39" spans="2:5" x14ac:dyDescent="0.25">
      <c r="B39" s="5"/>
      <c r="C39" s="6"/>
      <c r="D39" s="6"/>
      <c r="E39" s="100"/>
    </row>
    <row r="40" spans="2:5" x14ac:dyDescent="0.25">
      <c r="B40" s="5"/>
      <c r="C40" s="6"/>
      <c r="D40" s="6"/>
      <c r="E40" s="100"/>
    </row>
    <row r="41" spans="2:5" x14ac:dyDescent="0.25">
      <c r="B41" s="5"/>
      <c r="C41" s="6"/>
      <c r="D41" s="6"/>
      <c r="E41" s="100"/>
    </row>
    <row r="42" spans="2:5" x14ac:dyDescent="0.25">
      <c r="B42" s="5"/>
      <c r="C42" s="6"/>
      <c r="D42" s="6"/>
      <c r="E42" s="100"/>
    </row>
    <row r="43" spans="2:5" x14ac:dyDescent="0.25">
      <c r="B43" s="24" t="s">
        <v>93</v>
      </c>
      <c r="C43" s="21">
        <f>IF(AND(C6="Ja",D6="Sandsynliggjorte aftaler mv."),SUM(C36:C42),0)</f>
        <v>0</v>
      </c>
      <c r="D43" s="21">
        <f>IF(AND(C6="Ja",D6="Sandsynliggjorte aftaler mv."),SUM(D36:D42),0)</f>
        <v>0</v>
      </c>
      <c r="E43" s="100"/>
    </row>
    <row r="44" spans="2:5" x14ac:dyDescent="0.25">
      <c r="B44" s="41"/>
      <c r="C44" s="42"/>
      <c r="D44" s="42"/>
      <c r="E44" s="100"/>
    </row>
    <row r="45" spans="2:5" x14ac:dyDescent="0.25">
      <c r="B45" s="43" t="s">
        <v>97</v>
      </c>
      <c r="C45" s="9" t="s">
        <v>112</v>
      </c>
      <c r="D45" s="9" t="s">
        <v>111</v>
      </c>
      <c r="E45" s="100"/>
    </row>
    <row r="46" spans="2:5" x14ac:dyDescent="0.25">
      <c r="B46" s="5"/>
      <c r="C46" s="6"/>
      <c r="D46" s="6"/>
      <c r="E46" s="100"/>
    </row>
    <row r="47" spans="2:5" x14ac:dyDescent="0.25">
      <c r="B47" s="5"/>
      <c r="C47" s="6"/>
      <c r="D47" s="6"/>
      <c r="E47" s="100"/>
    </row>
    <row r="48" spans="2:5" x14ac:dyDescent="0.25">
      <c r="B48" s="5"/>
      <c r="C48" s="6"/>
      <c r="D48" s="6"/>
      <c r="E48" s="100"/>
    </row>
    <row r="49" spans="1:8" x14ac:dyDescent="0.25">
      <c r="B49" s="5"/>
      <c r="C49" s="6"/>
      <c r="D49" s="6"/>
      <c r="E49" s="100"/>
    </row>
    <row r="50" spans="1:8" x14ac:dyDescent="0.25">
      <c r="B50" s="5"/>
      <c r="C50" s="6"/>
      <c r="D50" s="6"/>
      <c r="E50" s="100"/>
    </row>
    <row r="51" spans="1:8" x14ac:dyDescent="0.25">
      <c r="B51" s="5"/>
      <c r="C51" s="6"/>
      <c r="D51" s="6"/>
      <c r="E51" s="100"/>
    </row>
    <row r="52" spans="1:8" x14ac:dyDescent="0.25">
      <c r="B52" s="5"/>
      <c r="C52" s="6"/>
      <c r="D52" s="6"/>
      <c r="E52" s="100"/>
    </row>
    <row r="53" spans="1:8" x14ac:dyDescent="0.25">
      <c r="B53" s="24" t="s">
        <v>92</v>
      </c>
      <c r="C53" s="21">
        <f>IF(AND(C7="Ja",D7="Sandsynliggjorte aftaler mv."),SUM(C46:C52),0)</f>
        <v>0</v>
      </c>
      <c r="D53" s="21">
        <f>(IF(AND(C7="Ja",D7="Sandsynliggjorte aftaler mv."),SUM(D46:D52),0))</f>
        <v>0</v>
      </c>
      <c r="E53" s="105"/>
      <c r="H53" s="104"/>
    </row>
    <row r="54" spans="1:8" x14ac:dyDescent="0.25">
      <c r="B54" s="71"/>
      <c r="C54" s="68"/>
      <c r="D54" s="68"/>
      <c r="E54" s="105"/>
    </row>
    <row r="55" spans="1:8" ht="15.75" thickBot="1" x14ac:dyDescent="0.3">
      <c r="B55" s="60" t="s">
        <v>114</v>
      </c>
      <c r="C55" s="54"/>
      <c r="D55" s="54"/>
      <c r="E55" s="105"/>
    </row>
    <row r="56" spans="1:8" ht="30" x14ac:dyDescent="0.25">
      <c r="B56" s="55" t="s">
        <v>98</v>
      </c>
      <c r="C56" s="56"/>
      <c r="D56" s="57"/>
      <c r="E56" s="105"/>
    </row>
    <row r="57" spans="1:8" x14ac:dyDescent="0.25">
      <c r="B57" s="63"/>
      <c r="C57" s="112"/>
      <c r="D57" s="113"/>
      <c r="E57" s="105"/>
      <c r="H57" s="104"/>
    </row>
    <row r="58" spans="1:8" ht="21.75" customHeight="1" x14ac:dyDescent="0.25">
      <c r="B58" s="58" t="s">
        <v>116</v>
      </c>
      <c r="C58" s="62"/>
      <c r="D58" s="70">
        <f>Liste!P9</f>
        <v>0</v>
      </c>
      <c r="E58" s="105"/>
    </row>
    <row r="59" spans="1:8" ht="15" customHeight="1" x14ac:dyDescent="0.25">
      <c r="A59" s="101"/>
      <c r="B59" s="65"/>
      <c r="C59" s="59"/>
      <c r="D59" s="95"/>
      <c r="E59" s="105"/>
      <c r="H59" s="104"/>
    </row>
    <row r="60" spans="1:8" ht="36.75" customHeight="1" x14ac:dyDescent="0.25">
      <c r="A60" s="101"/>
      <c r="B60" s="67"/>
      <c r="C60" s="89" t="s">
        <v>110</v>
      </c>
      <c r="D60" s="90" t="s">
        <v>100</v>
      </c>
      <c r="E60" s="105"/>
    </row>
    <row r="61" spans="1:8" ht="37.5" customHeight="1" x14ac:dyDescent="0.25">
      <c r="B61" s="91" t="s">
        <v>101</v>
      </c>
      <c r="C61" s="80"/>
      <c r="D61" s="64"/>
      <c r="E61" s="106"/>
    </row>
    <row r="62" spans="1:8" ht="15" customHeight="1" x14ac:dyDescent="0.25">
      <c r="B62" s="65"/>
      <c r="C62" s="59"/>
      <c r="D62" s="95"/>
      <c r="E62" s="106"/>
    </row>
    <row r="63" spans="1:8" ht="37.5" customHeight="1" x14ac:dyDescent="0.25">
      <c r="B63" s="92" t="s">
        <v>115</v>
      </c>
      <c r="C63" s="62"/>
      <c r="D63" s="69">
        <f>IF(Liste!P21&lt;0,-D56,Liste!P21)</f>
        <v>0</v>
      </c>
      <c r="E63" s="106"/>
    </row>
    <row r="64" spans="1:8" ht="16.5" customHeight="1" x14ac:dyDescent="0.25">
      <c r="A64" s="101"/>
      <c r="B64" s="66"/>
      <c r="C64" s="61"/>
      <c r="D64" s="96"/>
      <c r="E64" s="106"/>
    </row>
    <row r="65" spans="2:5" ht="39.75" customHeight="1" thickBot="1" x14ac:dyDescent="0.3">
      <c r="B65" s="108" t="s">
        <v>99</v>
      </c>
      <c r="C65" s="97"/>
      <c r="D65" s="107">
        <f>IFERROR(IF(ISBLANK(D56),0,(MIN(MAX(IF(D58&lt;30%,-D56,(D63-D56)),-D56),D63))),0)</f>
        <v>0</v>
      </c>
      <c r="E65" s="100"/>
    </row>
  </sheetData>
  <sheetProtection algorithmName="SHA-512" hashValue="wYxpQeLgzBesu7WAysAoXGtzqJUYwKV+8cN3p8z3u9H1MDPY9ZWRD/GK81DYk4AViaDmzj6F6S7Q45n7BvGOaA==" saltValue="BMPcH+D/V+lzJG/7VRunqg==" spinCount="100000" sheet="1" insertRows="0" selectLockedCells="1"/>
  <protectedRanges>
    <protectedRange sqref="B65" name="Område2"/>
  </protectedRanges>
  <mergeCells count="8">
    <mergeCell ref="B2:E2"/>
    <mergeCell ref="B3:E3"/>
    <mergeCell ref="B19:C19"/>
    <mergeCell ref="C57:D57"/>
    <mergeCell ref="B18:C18"/>
    <mergeCell ref="B21:C21"/>
    <mergeCell ref="B20:C20"/>
    <mergeCell ref="B14:C14"/>
  </mergeCells>
  <conditionalFormatting sqref="B11:C11">
    <cfRule type="expression" dxfId="25" priority="12">
      <formula>$C$6="Nej"</formula>
    </cfRule>
  </conditionalFormatting>
  <conditionalFormatting sqref="B10:C10">
    <cfRule type="expression" dxfId="24" priority="11">
      <formula>$C$5="Nej"</formula>
    </cfRule>
  </conditionalFormatting>
  <conditionalFormatting sqref="B15:C15">
    <cfRule type="expression" dxfId="23" priority="9">
      <formula>$C$5="Nej"</formula>
    </cfRule>
  </conditionalFormatting>
  <conditionalFormatting sqref="B16:C16">
    <cfRule type="expression" dxfId="22" priority="8">
      <formula>$C$6="Nej"</formula>
    </cfRule>
  </conditionalFormatting>
  <conditionalFormatting sqref="B12:C12 B17:C17">
    <cfRule type="expression" dxfId="21" priority="6">
      <formula>$C$7="Nej"</formula>
    </cfRule>
  </conditionalFormatting>
  <conditionalFormatting sqref="D65">
    <cfRule type="cellIs" dxfId="20" priority="1" operator="lessThan">
      <formula>-0.1</formula>
    </cfRule>
    <cfRule type="cellIs" dxfId="19" priority="2" operator="greaterThan">
      <formula>0.1</formula>
    </cfRule>
  </conditionalFormatting>
  <dataValidations count="1">
    <dataValidation allowBlank="1" showInputMessage="1" errorTitle="Maks beløb" error="Du kan maks indtaste 46.000 kr. i dette felt." sqref="D56 D61:D64 D58:D59"/>
  </dataValidations>
  <pageMargins left="0.70866141732283472" right="0.70866141732283472" top="0.74803149606299213" bottom="0.74803149606299213" header="0.31496062992125984" footer="0.31496062992125984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" id="{4612F48D-A113-4559-803B-228A7DEC055F}">
            <xm:f>Liste!$H$25=0</xm:f>
            <x14:dxf>
              <fill>
                <patternFill>
                  <bgColor rgb="FFFF5050"/>
                </patternFill>
              </fill>
            </x14:dxf>
          </x14:cfRule>
          <xm:sqref>B14:C17 B20:C53</xm:sqref>
        </x14:conditionalFormatting>
        <x14:conditionalFormatting xmlns:xm="http://schemas.microsoft.com/office/excel/2006/main">
          <x14:cfRule type="expression" priority="39" id="{0FAEB0E8-21D2-42CB-AB3F-97E8AB7D79BF}">
            <xm:f>Liste!$D$25&lt;10</xm:f>
            <x14:dxf>
              <fill>
                <patternFill>
                  <bgColor rgb="FFFF5050"/>
                </patternFill>
              </fill>
            </x14:dxf>
          </x14:cfRule>
          <xm:sqref>B20:C53</xm:sqref>
        </x14:conditionalFormatting>
        <x14:conditionalFormatting xmlns:xm="http://schemas.microsoft.com/office/excel/2006/main">
          <x14:cfRule type="expression" priority="40" id="{D5FED764-BCBB-4826-A660-D3D30A007470}">
            <xm:f>Liste!$D$25=30</xm:f>
            <x14:dxf>
              <fill>
                <patternFill>
                  <bgColor rgb="FFFF5050"/>
                </patternFill>
              </fill>
            </x14:dxf>
          </x14:cfRule>
          <x14:cfRule type="expression" priority="41" id="{96197142-2F21-4837-A0D2-9198F328DF3F}">
            <xm:f>Liste!$D$25=20</xm:f>
            <x14:dxf>
              <fill>
                <patternFill>
                  <bgColor rgb="FFFF5050"/>
                </patternFill>
              </fill>
            </x14:dxf>
          </x14:cfRule>
          <x14:cfRule type="expression" priority="42" id="{700713AC-5AC7-4FBE-ABFD-D397DC744D3E}">
            <xm:f>Liste!$D$25=10</xm:f>
            <x14:dxf>
              <fill>
                <patternFill>
                  <bgColor rgb="FFFF5050"/>
                </patternFill>
              </fill>
            </x14:dxf>
          </x14:cfRule>
          <xm:sqref>B14:C17</xm:sqref>
        </x14:conditionalFormatting>
        <x14:conditionalFormatting xmlns:xm="http://schemas.microsoft.com/office/excel/2006/main">
          <x14:cfRule type="expression" priority="4" id="{CB387489-1EC3-44B9-81B3-42CDF5788868}">
            <xm:f>Liste!$H$25=0</xm:f>
            <x14:dxf>
              <fill>
                <patternFill>
                  <bgColor rgb="FFFF5050"/>
                </patternFill>
              </fill>
            </x14:dxf>
          </x14:cfRule>
          <xm:sqref>D22:D53</xm:sqref>
        </x14:conditionalFormatting>
        <x14:conditionalFormatting xmlns:xm="http://schemas.microsoft.com/office/excel/2006/main">
          <x14:cfRule type="expression" priority="5" id="{60FF4E30-DB19-4179-B125-83CEC1D14974}">
            <xm:f>Liste!$D$25&lt;10</xm:f>
            <x14:dxf>
              <fill>
                <patternFill>
                  <bgColor rgb="FFFF5050"/>
                </patternFill>
              </fill>
            </x14:dxf>
          </x14:cfRule>
          <xm:sqref>D22:D53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Liste!$K$3:$K$5</xm:f>
          </x14:formula1>
          <xm:sqref>C5:C7</xm:sqref>
        </x14:dataValidation>
        <x14:dataValidation type="list" allowBlank="1" showInputMessage="1" showErrorMessage="1">
          <x14:formula1>
            <xm:f>Liste!$C$12:$C$15</xm:f>
          </x14:formula1>
          <xm:sqref>E5:E7</xm:sqref>
        </x14:dataValidation>
        <x14:dataValidation type="list" allowBlank="1" showInputMessage="1" showErrorMessage="1">
          <x14:formula1>
            <xm:f>Liste!$G$3:$G$5</xm:f>
          </x14:formula1>
          <xm:sqref>D5:D7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35"/>
  <sheetViews>
    <sheetView topLeftCell="B7" workbookViewId="0">
      <selection activeCell="F14" sqref="F14"/>
    </sheetView>
  </sheetViews>
  <sheetFormatPr defaultRowHeight="15" x14ac:dyDescent="0.25"/>
  <cols>
    <col min="3" max="3" width="18.7109375" customWidth="1"/>
    <col min="4" max="4" width="14.7109375" customWidth="1"/>
    <col min="7" max="7" width="33" customWidth="1"/>
    <col min="8" max="8" width="12.5703125" bestFit="1" customWidth="1"/>
    <col min="11" max="11" width="25.42578125" customWidth="1"/>
    <col min="12" max="12" width="22.7109375" customWidth="1"/>
    <col min="13" max="13" width="15.5703125" customWidth="1"/>
    <col min="15" max="15" width="38.5703125" customWidth="1"/>
    <col min="16" max="16" width="17" customWidth="1"/>
  </cols>
  <sheetData>
    <row r="2" spans="2:17" x14ac:dyDescent="0.25">
      <c r="B2" s="13" t="s">
        <v>1</v>
      </c>
      <c r="C2" s="13" t="s">
        <v>2</v>
      </c>
      <c r="D2" s="13"/>
      <c r="E2" s="13"/>
      <c r="F2" s="13" t="s">
        <v>1</v>
      </c>
      <c r="G2" s="13" t="s">
        <v>5</v>
      </c>
      <c r="H2" s="13"/>
      <c r="I2" s="13"/>
      <c r="J2" s="13" t="s">
        <v>1</v>
      </c>
      <c r="K2" s="13" t="s">
        <v>10</v>
      </c>
      <c r="L2" s="13"/>
      <c r="N2" t="s">
        <v>1</v>
      </c>
      <c r="O2" t="s">
        <v>78</v>
      </c>
    </row>
    <row r="3" spans="2:17" ht="30" x14ac:dyDescent="0.25">
      <c r="B3" s="13"/>
      <c r="C3" s="13">
        <v>2020</v>
      </c>
      <c r="D3" s="13"/>
      <c r="E3" s="13"/>
      <c r="F3" s="13"/>
      <c r="G3" s="13" t="s">
        <v>3</v>
      </c>
      <c r="H3" s="13"/>
      <c r="I3" s="13"/>
      <c r="J3" s="13"/>
      <c r="K3" s="13" t="s">
        <v>11</v>
      </c>
      <c r="L3" s="13"/>
      <c r="O3" s="52" t="s">
        <v>8</v>
      </c>
      <c r="P3" s="22">
        <f>P4+P5+P6</f>
        <v>0</v>
      </c>
      <c r="Q3" t="s">
        <v>79</v>
      </c>
    </row>
    <row r="4" spans="2:17" ht="30" x14ac:dyDescent="0.25">
      <c r="B4" s="13"/>
      <c r="C4" s="13">
        <v>2019</v>
      </c>
      <c r="D4" s="13"/>
      <c r="E4" s="13"/>
      <c r="F4" s="13"/>
      <c r="G4" s="13" t="s">
        <v>6</v>
      </c>
      <c r="H4" s="13"/>
      <c r="I4" s="13"/>
      <c r="J4" s="13"/>
      <c r="K4" s="13" t="s">
        <v>12</v>
      </c>
      <c r="L4" s="13"/>
      <c r="O4" s="53" t="s">
        <v>35</v>
      </c>
      <c r="P4" s="23">
        <f>IF(Skema!C15=0,0,IF(AND(Skema!C5="Ja",Skema!D5="Referenceperiode"),(Skema!C15-Skema!C10),0))</f>
        <v>0</v>
      </c>
      <c r="Q4" t="s">
        <v>80</v>
      </c>
    </row>
    <row r="5" spans="2:17" ht="30" x14ac:dyDescent="0.25">
      <c r="B5" s="13"/>
      <c r="C5" s="13">
        <v>2018</v>
      </c>
      <c r="D5" s="13"/>
      <c r="E5" s="13"/>
      <c r="F5" s="13"/>
      <c r="G5" s="13" t="s">
        <v>20</v>
      </c>
      <c r="H5" s="13"/>
      <c r="I5" s="13"/>
      <c r="J5" s="13"/>
      <c r="K5" s="13" t="s">
        <v>13</v>
      </c>
      <c r="L5" s="13"/>
      <c r="O5" s="53" t="s">
        <v>36</v>
      </c>
      <c r="P5" s="23">
        <f>IF(Skema!C16=0,0,IF(AND(Skema!C6="Ja",Skema!D6="Referenceperiode"),(Skema!C16-Skema!C11),0))</f>
        <v>0</v>
      </c>
      <c r="Q5" t="s">
        <v>81</v>
      </c>
    </row>
    <row r="6" spans="2:17" ht="30" x14ac:dyDescent="0.25">
      <c r="B6" s="13"/>
      <c r="C6" s="13" t="s">
        <v>19</v>
      </c>
      <c r="D6" s="13"/>
      <c r="E6" s="13"/>
      <c r="F6" s="13"/>
      <c r="G6" s="13"/>
      <c r="H6" s="13"/>
      <c r="I6" s="13"/>
      <c r="J6" s="13"/>
      <c r="K6" s="13"/>
      <c r="L6" s="13"/>
      <c r="O6" s="53" t="s">
        <v>66</v>
      </c>
      <c r="P6" s="23">
        <f>IF(Skema!C17=0,0,IF(AND(Skema!C7="Ja",Skema!D7="Referenceperiode"),(Skema!C17-Skema!C12),0))</f>
        <v>0</v>
      </c>
      <c r="Q6" t="s">
        <v>82</v>
      </c>
    </row>
    <row r="7" spans="2:17" ht="30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O7" s="52" t="s">
        <v>9</v>
      </c>
      <c r="P7" s="2">
        <f>Skema!D33+Skema!D43+Skema!D53</f>
        <v>0</v>
      </c>
      <c r="Q7" t="s">
        <v>83</v>
      </c>
    </row>
    <row r="8" spans="2:17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O8" s="52" t="s">
        <v>40</v>
      </c>
      <c r="P8" s="2">
        <f>IF(Liste!D26="Kombi",P3+P7,0)</f>
        <v>0</v>
      </c>
      <c r="Q8" t="s">
        <v>84</v>
      </c>
    </row>
    <row r="9" spans="2:17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O9" s="52" t="s">
        <v>34</v>
      </c>
      <c r="P9" s="3">
        <f>IF(Liste!D26="Sand",Liste!H29,IF(Liste!D26="ref",Liste!H30,IF(Liste!D26="Kombi",Matrix!E8,0)))</f>
        <v>0</v>
      </c>
      <c r="Q9" t="s">
        <v>85</v>
      </c>
    </row>
    <row r="10" spans="2:17" x14ac:dyDescent="0.25">
      <c r="B10" s="13"/>
      <c r="C10" s="13"/>
      <c r="D10" s="13"/>
      <c r="E10" s="13"/>
      <c r="F10" s="13" t="s">
        <v>47</v>
      </c>
      <c r="G10" s="13" t="s">
        <v>88</v>
      </c>
      <c r="H10" s="13"/>
      <c r="I10" s="13"/>
      <c r="J10" s="13"/>
      <c r="K10" s="13"/>
      <c r="L10" s="13"/>
      <c r="O10" s="52" t="s">
        <v>0</v>
      </c>
      <c r="P10" s="4" t="str">
        <f>IF(Liste!D35&gt;0,"Indtast oplysninger om ansøgning",IF(P9&gt;=30%,"Ja","Nej"))</f>
        <v>Nej</v>
      </c>
      <c r="Q10" t="s">
        <v>86</v>
      </c>
    </row>
    <row r="11" spans="2:17" x14ac:dyDescent="0.25">
      <c r="B11" s="13" t="s">
        <v>17</v>
      </c>
      <c r="C11" s="13" t="s">
        <v>18</v>
      </c>
      <c r="D11" s="13"/>
      <c r="E11" s="13"/>
      <c r="F11" s="13"/>
      <c r="G11" s="13">
        <f>IFERROR(MIN(MAX(IF(Skema!D58&lt;30%,-Skema!D56,(Skema!D63-Skema!D56)),-Skema!D56),Skema!D63+O24),0)</f>
        <v>0</v>
      </c>
      <c r="H11" s="13"/>
      <c r="I11" s="13"/>
      <c r="J11" s="13"/>
      <c r="K11" s="13"/>
      <c r="L11" s="13"/>
    </row>
    <row r="12" spans="2:17" x14ac:dyDescent="0.25">
      <c r="B12" s="13"/>
      <c r="C12" s="13">
        <v>2019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2:17" x14ac:dyDescent="0.25">
      <c r="B13" s="13"/>
      <c r="C13" s="13">
        <v>2018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2:17" x14ac:dyDescent="0.25">
      <c r="B14" s="13"/>
      <c r="C14" s="13">
        <v>2017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2:17" x14ac:dyDescent="0.25">
      <c r="B15" s="13"/>
      <c r="C15" s="13" t="s">
        <v>19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2:17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6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6" x14ac:dyDescent="0.25">
      <c r="B18" s="13" t="s">
        <v>1</v>
      </c>
      <c r="C18" s="14" t="s">
        <v>23</v>
      </c>
      <c r="D18" s="14" t="s">
        <v>24</v>
      </c>
      <c r="E18" s="13"/>
      <c r="F18" s="13" t="s">
        <v>1</v>
      </c>
      <c r="G18" s="14" t="s">
        <v>14</v>
      </c>
      <c r="H18" s="14" t="s">
        <v>16</v>
      </c>
      <c r="I18" s="13"/>
      <c r="J18" s="13" t="s">
        <v>1</v>
      </c>
      <c r="K18" s="14" t="s">
        <v>21</v>
      </c>
      <c r="L18" s="14"/>
      <c r="N18" t="s">
        <v>1</v>
      </c>
      <c r="O18" s="119" t="s">
        <v>74</v>
      </c>
      <c r="P18" s="119"/>
    </row>
    <row r="19" spans="2:16" x14ac:dyDescent="0.25">
      <c r="B19" s="13"/>
      <c r="C19" s="14" t="s">
        <v>30</v>
      </c>
      <c r="D19" s="14">
        <f>IF(AND(Skema!D5="Referenceperiode",H19=1),1,IF(AND(Skema!D5="Sandsynliggjorte aftaler mv.",H19=1),10,0))</f>
        <v>0</v>
      </c>
      <c r="E19" s="13"/>
      <c r="F19" s="13"/>
      <c r="G19" s="14" t="s">
        <v>30</v>
      </c>
      <c r="H19" s="14">
        <f>IF(Skema!C5="Ja",1,0)</f>
        <v>0</v>
      </c>
      <c r="I19" s="13"/>
      <c r="J19" s="13"/>
      <c r="K19" s="14" t="s">
        <v>22</v>
      </c>
      <c r="L19" s="15">
        <f>IF(AND(P10="Ja",P19&gt;=23000),23000,IF(AND(P10="Ja",P19&lt;=23000),P19,0))</f>
        <v>0</v>
      </c>
      <c r="O19" t="s">
        <v>75</v>
      </c>
      <c r="P19" s="51">
        <f>IF(AND(Liste!D25&gt;0,Liste!D25&lt;=6),P3*0.9,IF(OR(Liste!D25=10,Liste!D25=20,Liste!D25=30,Liste!D25=40,Liste!D25=50,Liste!D25=60),P7*0.9,P8*0.9))</f>
        <v>0</v>
      </c>
    </row>
    <row r="20" spans="2:16" x14ac:dyDescent="0.25">
      <c r="B20" s="13"/>
      <c r="C20" s="14" t="s">
        <v>42</v>
      </c>
      <c r="D20" s="14">
        <f>IF(AND(Skema!D6="Referenceperiode",H20=1),1,IF(AND(Skema!D6="Sandsynliggjorte aftaler mv.",H20=1),10,0))</f>
        <v>0</v>
      </c>
      <c r="E20" s="13"/>
      <c r="F20" s="13"/>
      <c r="G20" s="14" t="s">
        <v>42</v>
      </c>
      <c r="H20" s="14">
        <f>IF(Skema!C6="Ja",1,0)</f>
        <v>0</v>
      </c>
      <c r="I20" s="13"/>
      <c r="J20" s="13"/>
      <c r="K20" s="14" t="s">
        <v>43</v>
      </c>
      <c r="L20" s="15">
        <f>IF(AND(P10="Ja",P19&gt;=46000),46000,IF(AND(P10="Ja",P19&lt;=46000),P19,0))</f>
        <v>0</v>
      </c>
      <c r="O20" t="s">
        <v>76</v>
      </c>
      <c r="P20" s="51" t="str">
        <f>IF(Liste!H25=1,Liste!L19,IF(Liste!H25=2,Liste!L20,IF(Liste!H25=3,Liste!L21,"")))</f>
        <v/>
      </c>
    </row>
    <row r="21" spans="2:16" ht="30" x14ac:dyDescent="0.25">
      <c r="B21" s="13"/>
      <c r="C21" s="14" t="s">
        <v>41</v>
      </c>
      <c r="D21" s="14">
        <f>IF(Skema!D7="Referenceperiode",1,IF(Skema!D7="Sandsynliggjorte aftaler mv.",10,0))</f>
        <v>0</v>
      </c>
      <c r="E21" s="13"/>
      <c r="F21" s="13"/>
      <c r="G21" s="14" t="s">
        <v>41</v>
      </c>
      <c r="H21" s="14">
        <f>IF(Skema!C7="Ja",1,0)</f>
        <v>0</v>
      </c>
      <c r="I21" s="13"/>
      <c r="J21" s="13"/>
      <c r="K21" s="14" t="s">
        <v>44</v>
      </c>
      <c r="L21" s="15">
        <f>IF(AND(P10="Ja",P19&gt;=69000),69000,IF(AND(P10="Ja",P19&lt;=69000),P19,0))</f>
        <v>0</v>
      </c>
      <c r="O21" s="50" t="s">
        <v>77</v>
      </c>
      <c r="P21" s="51">
        <f>MIN(IF(P20="",0,IF(Skema!C61=Skema!D61,P20-Skema!C61,IF(ISNUMBER(Skema!D61),P20-Skema!D61,P20))))</f>
        <v>0</v>
      </c>
    </row>
    <row r="22" spans="2:16" x14ac:dyDescent="0.25">
      <c r="B22" s="13"/>
      <c r="C22" s="14" t="s">
        <v>31</v>
      </c>
      <c r="D22" s="17">
        <v>0</v>
      </c>
      <c r="E22" s="13"/>
      <c r="F22" s="13"/>
      <c r="G22" s="14" t="s">
        <v>31</v>
      </c>
      <c r="H22" s="14">
        <v>0</v>
      </c>
      <c r="I22" s="13"/>
      <c r="J22" s="13"/>
      <c r="K22" s="14" t="s">
        <v>31</v>
      </c>
      <c r="L22" s="15">
        <v>0</v>
      </c>
    </row>
    <row r="23" spans="2:16" x14ac:dyDescent="0.25">
      <c r="B23" s="13"/>
      <c r="C23" s="14" t="s">
        <v>31</v>
      </c>
      <c r="D23" s="14">
        <v>0</v>
      </c>
      <c r="E23" s="13"/>
      <c r="F23" s="13"/>
      <c r="G23" s="14" t="s">
        <v>31</v>
      </c>
      <c r="H23" s="14">
        <v>0</v>
      </c>
      <c r="I23" s="13"/>
      <c r="J23" s="13"/>
      <c r="K23" s="14" t="s">
        <v>31</v>
      </c>
      <c r="L23" s="15">
        <v>0</v>
      </c>
      <c r="N23" t="s">
        <v>47</v>
      </c>
      <c r="O23" s="72" t="s">
        <v>87</v>
      </c>
    </row>
    <row r="24" spans="2:16" x14ac:dyDescent="0.25">
      <c r="B24" s="13"/>
      <c r="C24" s="14" t="s">
        <v>31</v>
      </c>
      <c r="D24" s="14">
        <v>0</v>
      </c>
      <c r="E24" s="13"/>
      <c r="F24" s="13"/>
      <c r="G24" s="14" t="s">
        <v>31</v>
      </c>
      <c r="H24" s="14">
        <v>0</v>
      </c>
      <c r="I24" s="13"/>
      <c r="J24" s="13"/>
      <c r="K24" s="14" t="s">
        <v>31</v>
      </c>
      <c r="L24" s="15">
        <v>0</v>
      </c>
      <c r="O24" s="72">
        <f>IF(AND(Skema!C61&gt;0,ISBLANK(Skema!D61)),"Indtast modtagne dagpenge",Skema!C61-Skema!D61)</f>
        <v>0</v>
      </c>
    </row>
    <row r="25" spans="2:16" x14ac:dyDescent="0.25">
      <c r="C25" s="14" t="s">
        <v>26</v>
      </c>
      <c r="D25" s="14">
        <f>SUM(D19:D24)</f>
        <v>0</v>
      </c>
      <c r="E25" s="13"/>
      <c r="F25" s="13"/>
      <c r="G25" s="14" t="s">
        <v>15</v>
      </c>
      <c r="H25" s="14">
        <f>SUM(H19:H24)</f>
        <v>0</v>
      </c>
      <c r="I25" s="13"/>
      <c r="J25" s="13"/>
      <c r="K25" s="13"/>
      <c r="L25" s="13"/>
    </row>
    <row r="26" spans="2:16" x14ac:dyDescent="0.25">
      <c r="C26" s="14" t="s">
        <v>29</v>
      </c>
      <c r="D26" s="10">
        <f>IF(OR(D25=10,D25=20,D25=30,D25=40,D25=50,D25=60),"Sand",IF(OR(D25=1,D25=2,D25=3,D25=4,D25=5,D25=6),"ref",IF(AND(D25&gt;10,D25&lt;60),"Kombi",0)))</f>
        <v>0</v>
      </c>
      <c r="E26" s="13"/>
      <c r="F26" s="13"/>
      <c r="G26" s="13"/>
      <c r="H26" s="13"/>
      <c r="I26" s="13"/>
      <c r="J26" s="13"/>
      <c r="K26" s="13"/>
      <c r="L26" s="13"/>
    </row>
    <row r="27" spans="2:16" x14ac:dyDescent="0.25">
      <c r="E27" s="13"/>
      <c r="F27" s="13"/>
      <c r="G27" s="18" t="s">
        <v>28</v>
      </c>
      <c r="H27" s="13"/>
      <c r="I27" s="13"/>
      <c r="J27" s="13"/>
      <c r="K27" s="13"/>
      <c r="L27" s="13"/>
    </row>
    <row r="28" spans="2:16" x14ac:dyDescent="0.25">
      <c r="B28" s="13" t="s">
        <v>1</v>
      </c>
      <c r="C28" s="16" t="s">
        <v>27</v>
      </c>
      <c r="D28" s="13"/>
      <c r="E28" s="13"/>
      <c r="F28" s="13" t="s">
        <v>1</v>
      </c>
      <c r="G28" s="25" t="s">
        <v>37</v>
      </c>
      <c r="H28" s="25"/>
      <c r="I28" s="19"/>
      <c r="J28" s="13"/>
      <c r="K28" s="14" t="s">
        <v>68</v>
      </c>
      <c r="L28" s="14"/>
      <c r="N28" s="10" t="s">
        <v>72</v>
      </c>
      <c r="O28" s="10"/>
    </row>
    <row r="29" spans="2:16" x14ac:dyDescent="0.25">
      <c r="B29" s="13"/>
      <c r="C29" s="13" t="s">
        <v>30</v>
      </c>
      <c r="D29" s="13">
        <f>IF(AND(Skema!C5="Ja",Skema!D5="Vælg baggrund for ansøgning"),1,0)</f>
        <v>0</v>
      </c>
      <c r="E29" s="13"/>
      <c r="F29" s="13"/>
      <c r="G29" s="26" t="s">
        <v>38</v>
      </c>
      <c r="H29" s="27">
        <f>IFERROR(P7/(O32+P7),0)</f>
        <v>0</v>
      </c>
      <c r="I29" s="44"/>
      <c r="J29" s="13"/>
      <c r="K29" s="14" t="s">
        <v>70</v>
      </c>
      <c r="L29" s="15">
        <f>IF(AND(Skema!C5="Ja",Skema!D5="Referenceperiode"),Skema!C15,0)</f>
        <v>0</v>
      </c>
      <c r="N29" s="10" t="s">
        <v>70</v>
      </c>
      <c r="O29" s="33">
        <f>IF(AND(Skema!C5="Ja",Skema!D5="Sandsynliggjorte aftaler mv."),Skema!C10,0)</f>
        <v>0</v>
      </c>
    </row>
    <row r="30" spans="2:16" x14ac:dyDescent="0.25">
      <c r="B30" s="13"/>
      <c r="C30" s="13" t="s">
        <v>42</v>
      </c>
      <c r="D30" s="13">
        <f>IF(AND(Skema!C6="Ja",Skema!D6="Vælg baggrund for ansøgning"),1,0)</f>
        <v>0</v>
      </c>
      <c r="E30" s="13"/>
      <c r="F30" s="13"/>
      <c r="G30" s="1" t="s">
        <v>39</v>
      </c>
      <c r="H30" s="27">
        <f>IFERROR(P3/L32,0)</f>
        <v>0</v>
      </c>
      <c r="I30" s="44"/>
      <c r="J30" s="13"/>
      <c r="K30" s="14" t="s">
        <v>69</v>
      </c>
      <c r="L30" s="15">
        <f>IF(AND(Skema!C6="Ja",Skema!D6="Referenceperiode"),Skema!C16,0)</f>
        <v>0</v>
      </c>
      <c r="N30" s="10" t="s">
        <v>69</v>
      </c>
      <c r="O30" s="33">
        <f>IF(AND(Skema!C6="Ja",Skema!D6="Sandsynliggjorte aftaler mv."),Skema!C11,0)</f>
        <v>0</v>
      </c>
    </row>
    <row r="31" spans="2:16" ht="15.75" thickBot="1" x14ac:dyDescent="0.3">
      <c r="B31" s="13"/>
      <c r="C31" s="13" t="s">
        <v>41</v>
      </c>
      <c r="D31" s="13">
        <f>IF(AND(Skema!C7="Ja",Skema!D7="Vælg baggrund for ansøgning"),1,0)</f>
        <v>0</v>
      </c>
      <c r="F31" s="11"/>
      <c r="G31" s="45"/>
      <c r="H31" s="46"/>
      <c r="I31" s="11"/>
      <c r="K31" s="36" t="s">
        <v>71</v>
      </c>
      <c r="L31" s="37">
        <f>IF(AND(Skema!C7="Ja",Skema!D7="Referenceperiode"),Skema!C17,0)</f>
        <v>0</v>
      </c>
      <c r="N31" s="39" t="s">
        <v>71</v>
      </c>
      <c r="O31" s="40">
        <f>IF(AND(Skema!C7="Ja",Skema!D7="Sandsynliggjorte aftaler mv."),Skema!C12,0)</f>
        <v>0</v>
      </c>
    </row>
    <row r="32" spans="2:16" x14ac:dyDescent="0.25">
      <c r="B32" s="13"/>
      <c r="C32" s="13" t="s">
        <v>31</v>
      </c>
      <c r="D32" s="13">
        <v>0</v>
      </c>
      <c r="K32" s="34" t="s">
        <v>73</v>
      </c>
      <c r="L32" s="35">
        <f>SUM(L29:L31)</f>
        <v>0</v>
      </c>
      <c r="N32" s="38" t="s">
        <v>73</v>
      </c>
      <c r="O32" s="35">
        <f>SUM(O29:O31)</f>
        <v>0</v>
      </c>
    </row>
    <row r="33" spans="2:8" x14ac:dyDescent="0.25">
      <c r="B33" s="13"/>
      <c r="C33" s="13" t="s">
        <v>31</v>
      </c>
      <c r="D33" s="13">
        <v>0</v>
      </c>
      <c r="H33" s="20"/>
    </row>
    <row r="34" spans="2:8" x14ac:dyDescent="0.25">
      <c r="C34" s="13" t="s">
        <v>31</v>
      </c>
      <c r="D34" s="13">
        <v>0</v>
      </c>
    </row>
    <row r="35" spans="2:8" x14ac:dyDescent="0.25">
      <c r="C35" s="13" t="s">
        <v>25</v>
      </c>
      <c r="D35" s="13">
        <f>SUM(D29:D34)</f>
        <v>0</v>
      </c>
    </row>
  </sheetData>
  <sheetProtection algorithmName="SHA-512" hashValue="u3BhvPyfum8at0homhknfxAmfXUieWE9zM091SMjh4SYoBA/kI/7wuxcIQGBZt1AuDZNexKZ+ijAJ8rYetJ2QQ==" saltValue="qQusqZJZ3bqziPPPHvgPPg==" spinCount="100000" sheet="1" selectLockedCells="1"/>
  <mergeCells count="1">
    <mergeCell ref="O18:P18"/>
  </mergeCells>
  <pageMargins left="0.7" right="0.7" top="0.75" bottom="0.75" header="0.3" footer="0.3"/>
  <pageSetup paperSize="9" orientation="portrait" r:id="rId1"/>
  <legacy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3"/>
  <sheetViews>
    <sheetView topLeftCell="B1" workbookViewId="0">
      <selection activeCell="B2" sqref="B2:F25"/>
    </sheetView>
  </sheetViews>
  <sheetFormatPr defaultRowHeight="15" x14ac:dyDescent="0.25"/>
  <cols>
    <col min="2" max="2" width="20.140625" customWidth="1"/>
    <col min="3" max="3" width="29.28515625" customWidth="1"/>
    <col min="4" max="4" width="18.5703125" customWidth="1"/>
    <col min="5" max="5" width="16" customWidth="1"/>
  </cols>
  <sheetData>
    <row r="2" spans="1:6" x14ac:dyDescent="0.25">
      <c r="B2" t="s">
        <v>45</v>
      </c>
    </row>
    <row r="3" spans="1:6" x14ac:dyDescent="0.25">
      <c r="C3" t="s">
        <v>63</v>
      </c>
      <c r="D3" t="s">
        <v>64</v>
      </c>
      <c r="E3" t="s">
        <v>41</v>
      </c>
    </row>
    <row r="4" spans="1:6" x14ac:dyDescent="0.25">
      <c r="C4">
        <f>IF(AND(Skema!D5="Sandsynliggjorte aftaler mv.",Skema!C5="Ja"),"SA",IF(AND(Skema!D5="Referenceperiode",Skema!C5="Ja"),"Ref",0))</f>
        <v>0</v>
      </c>
      <c r="D4">
        <f>IF(AND(Skema!D6="Sandsynliggjorte aftaler mv.",Skema!C6="Ja"),"SA",IF(AND(Skema!D6="Referenceperiode",Skema!C6="Ja"),"Ref",0))</f>
        <v>0</v>
      </c>
      <c r="E4">
        <f>IF(AND(Skema!D7="Sandsynliggjorte aftaler mv.",Skema!C7="Ja"),"SA",IF(AND(Skema!D7="Referenceperiode",Skema!C7="Ja"),"Ref",0))</f>
        <v>0</v>
      </c>
    </row>
    <row r="6" spans="1:6" x14ac:dyDescent="0.25">
      <c r="A6" t="s">
        <v>47</v>
      </c>
      <c r="B6" t="s">
        <v>48</v>
      </c>
      <c r="C6" s="28" t="str">
        <f>CONCATENATE(C4,"-",D4,"-",E4)</f>
        <v>0-0-0</v>
      </c>
    </row>
    <row r="8" spans="1:6" x14ac:dyDescent="0.25">
      <c r="B8" s="29" t="s">
        <v>56</v>
      </c>
      <c r="C8" s="29">
        <f>IFERROR(VLOOKUP($C$6,B11:C22,2,FALSE),0)</f>
        <v>0</v>
      </c>
      <c r="D8" s="30" t="s">
        <v>67</v>
      </c>
      <c r="E8" s="30">
        <f>IFERROR(VLOOKUP($C$6,B11:D22,3,FALSE),0)</f>
        <v>0</v>
      </c>
    </row>
    <row r="10" spans="1:6" x14ac:dyDescent="0.25">
      <c r="B10" t="s">
        <v>46</v>
      </c>
      <c r="C10" t="s">
        <v>49</v>
      </c>
      <c r="D10" t="s">
        <v>49</v>
      </c>
    </row>
    <row r="11" spans="1:6" x14ac:dyDescent="0.25">
      <c r="B11" t="s">
        <v>50</v>
      </c>
      <c r="C11">
        <v>1</v>
      </c>
      <c r="D11" s="31">
        <f>IFERROR(IF(B11=C6,Liste!P8/(Skema!C10+Skema!C11+Skema!C17+ListeP7),0),0)</f>
        <v>0</v>
      </c>
      <c r="F11" s="32"/>
    </row>
    <row r="12" spans="1:6" x14ac:dyDescent="0.25">
      <c r="B12" t="s">
        <v>51</v>
      </c>
      <c r="C12">
        <v>2</v>
      </c>
      <c r="D12" s="31">
        <f>IFERROR(IF(B12=C6,Liste!P8/(Skema!C11+Skema!C12+Skema!C15+Liste!P7),0),0)</f>
        <v>0</v>
      </c>
      <c r="F12" s="32"/>
    </row>
    <row r="13" spans="1:6" x14ac:dyDescent="0.25">
      <c r="B13" t="s">
        <v>52</v>
      </c>
      <c r="C13">
        <v>3</v>
      </c>
      <c r="D13" s="31">
        <f>IFERROR(IF(B13=C6,Liste!P8/(Skema!C10+Skema!C16+Skema!C12+Liste!P7),0),0)</f>
        <v>0</v>
      </c>
      <c r="F13" s="32"/>
    </row>
    <row r="14" spans="1:6" x14ac:dyDescent="0.25">
      <c r="B14" t="s">
        <v>53</v>
      </c>
      <c r="C14">
        <v>4</v>
      </c>
      <c r="D14" s="31">
        <f>IFERROR(IF(B14=C6,Liste!P8/(Liste!P7+Skema!C15+Skema!C16+Skema!C12),0),0)</f>
        <v>0</v>
      </c>
      <c r="F14" s="32"/>
    </row>
    <row r="15" spans="1:6" x14ac:dyDescent="0.25">
      <c r="B15" t="s">
        <v>54</v>
      </c>
      <c r="C15">
        <v>5</v>
      </c>
      <c r="D15" s="31">
        <f>IFERROR(IF(B15=C6,Liste!P8/(Liste!P7+Skema!C10+Skema!C16+Skema!C17),0),0)</f>
        <v>0</v>
      </c>
      <c r="F15" s="32"/>
    </row>
    <row r="16" spans="1:6" x14ac:dyDescent="0.25">
      <c r="B16" t="s">
        <v>55</v>
      </c>
      <c r="C16">
        <v>6</v>
      </c>
      <c r="D16" s="31">
        <f>IFERROR(IF(B16=C6,Liste!P8/(ListeP7+Skema!C15+Skema!C17+Skema!C11),0),0)</f>
        <v>0</v>
      </c>
      <c r="F16" s="32"/>
    </row>
    <row r="17" spans="2:6" x14ac:dyDescent="0.25">
      <c r="B17" t="s">
        <v>57</v>
      </c>
      <c r="C17">
        <v>7</v>
      </c>
      <c r="D17" s="31">
        <f>IFERROR(IF(B17=C6,Liste!P8/(Liste!P7+Skema!C10+Skema!C16),0),0)</f>
        <v>0</v>
      </c>
      <c r="F17" s="32"/>
    </row>
    <row r="18" spans="2:6" x14ac:dyDescent="0.25">
      <c r="B18" t="s">
        <v>61</v>
      </c>
      <c r="C18">
        <v>8</v>
      </c>
      <c r="D18" s="7">
        <f>IFERROR(IF(B18=C6,Liste!P8/(Liste!P7+Skema!C17+Skema!C11),0),0)</f>
        <v>0</v>
      </c>
      <c r="F18" s="32"/>
    </row>
    <row r="19" spans="2:6" x14ac:dyDescent="0.25">
      <c r="B19" t="s">
        <v>58</v>
      </c>
      <c r="C19">
        <v>9</v>
      </c>
      <c r="D19" s="31">
        <f>IFERROR(IF(B19=C6,Liste!P8/(Liste!P7+Skema!C12+Skema!C15),0),0)</f>
        <v>0</v>
      </c>
      <c r="F19" s="32"/>
    </row>
    <row r="20" spans="2:6" x14ac:dyDescent="0.25">
      <c r="B20" t="s">
        <v>59</v>
      </c>
      <c r="C20">
        <v>10</v>
      </c>
      <c r="D20" s="31">
        <f>IFERROR(IF(B20=C6,Liste!P8/(Liste!P7+Skema!C15+Skema!C11),0),0)</f>
        <v>0</v>
      </c>
      <c r="F20" s="32"/>
    </row>
    <row r="21" spans="2:6" x14ac:dyDescent="0.25">
      <c r="B21" t="s">
        <v>60</v>
      </c>
      <c r="C21">
        <v>11</v>
      </c>
      <c r="D21" s="31">
        <f>IFERROR(IF(B21=C6,Liste!P8/(Liste!P7+Skema!C16+Skema!C12),0),0)</f>
        <v>0</v>
      </c>
      <c r="F21" s="32"/>
    </row>
    <row r="22" spans="2:6" x14ac:dyDescent="0.25">
      <c r="B22" t="s">
        <v>62</v>
      </c>
      <c r="C22">
        <v>12</v>
      </c>
      <c r="D22" s="31">
        <f>IFERROR(IF(B22=C6,Liste!P8/(Liste!P7+Skema!C10+Skema!C17),0),0)</f>
        <v>0</v>
      </c>
      <c r="F22" s="32"/>
    </row>
    <row r="23" spans="2:6" x14ac:dyDescent="0.25">
      <c r="D23" s="31"/>
    </row>
  </sheetData>
  <sheetProtection algorithmName="SHA-512" hashValue="15HtNNjsU1ctEPLgDBBimAQf3a+Ke8hORgbvW4HrjezJe3IkjBXmjoFP4uU2/gpOvj3BxwpLGvGrsx9oQS+lxQ==" saltValue="nIToonx+qjmebE9NOtoUJg==" spinCount="100000" sheet="1" objects="1" scenarios="1" selectLockedCell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Skema</vt:lpstr>
      <vt:lpstr>Liste</vt:lpstr>
      <vt:lpstr>Matrix</vt:lpstr>
      <vt:lpstr>Skema!Udskriftsområde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Lyngsø</dc:creator>
  <cp:lastModifiedBy>Asmus Nøhr Vestergaard</cp:lastModifiedBy>
  <cp:lastPrinted>2023-03-24T12:59:42Z</cp:lastPrinted>
  <dcterms:created xsi:type="dcterms:W3CDTF">2020-12-09T11:12:08Z</dcterms:created>
  <dcterms:modified xsi:type="dcterms:W3CDTF">2023-05-25T06:36:52Z</dcterms:modified>
</cp:coreProperties>
</file>